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90" windowWidth="9135" windowHeight="5475"/>
  </bookViews>
  <sheets>
    <sheet name="Feuil1" sheetId="1" r:id="rId1"/>
  </sheets>
  <definedNames>
    <definedName name="_xlnm.Print_Area" localSheetId="0">Feuil1!$A$1:$H$185</definedName>
  </definedNames>
  <calcPr calcId="125725"/>
</workbook>
</file>

<file path=xl/calcChain.xml><?xml version="1.0" encoding="utf-8"?>
<calcChain xmlns="http://schemas.openxmlformats.org/spreadsheetml/2006/main">
  <c r="D48" i="1"/>
  <c r="D67"/>
  <c r="D68"/>
  <c r="D75"/>
  <c r="F75"/>
  <c r="D76"/>
  <c r="D78"/>
  <c r="F78"/>
  <c r="D79"/>
  <c r="B6"/>
  <c r="B7"/>
  <c r="B8"/>
  <c r="E97"/>
  <c r="D91"/>
  <c r="D92"/>
  <c r="E124"/>
  <c r="E129"/>
  <c r="E139"/>
  <c r="E140"/>
  <c r="E133"/>
  <c r="E151"/>
  <c r="F176"/>
  <c r="G176"/>
  <c r="F162"/>
  <c r="G162"/>
  <c r="F161"/>
  <c r="G165"/>
  <c r="G174"/>
  <c r="G175"/>
  <c r="B43"/>
  <c r="C42"/>
  <c r="D42"/>
  <c r="D81"/>
  <c r="E112"/>
  <c r="F81"/>
  <c r="D17"/>
  <c r="C17"/>
  <c r="B9"/>
  <c r="B10"/>
  <c r="B11"/>
  <c r="B12"/>
  <c r="B13"/>
  <c r="B14"/>
  <c r="B15"/>
  <c r="B16"/>
  <c r="C37"/>
  <c r="C38"/>
  <c r="C39"/>
  <c r="C40"/>
  <c r="C41"/>
  <c r="D41"/>
  <c r="D40"/>
  <c r="D39"/>
  <c r="D38"/>
  <c r="D37"/>
  <c r="B17"/>
  <c r="B44"/>
  <c r="B45"/>
  <c r="A55"/>
  <c r="A57"/>
  <c r="E158"/>
  <c r="F158"/>
  <c r="G158"/>
  <c r="E44"/>
  <c r="E45"/>
  <c r="D82"/>
  <c r="D72"/>
  <c r="B73"/>
  <c r="E73"/>
  <c r="E85"/>
  <c r="E144"/>
  <c r="E145"/>
  <c r="D84"/>
  <c r="G169"/>
  <c r="F178"/>
  <c r="G178"/>
  <c r="E160"/>
  <c r="F160"/>
  <c r="G160"/>
  <c r="B85"/>
  <c r="E96"/>
  <c r="D87"/>
  <c r="E157"/>
  <c r="F157"/>
  <c r="E100"/>
  <c r="E102"/>
  <c r="E125"/>
  <c r="E126"/>
  <c r="E98"/>
  <c r="E103"/>
  <c r="E104"/>
  <c r="E108"/>
  <c r="G167"/>
  <c r="G166"/>
  <c r="G157"/>
  <c r="E120"/>
  <c r="E122"/>
  <c r="E128"/>
  <c r="E130"/>
  <c r="E110"/>
  <c r="E114"/>
  <c r="E115"/>
  <c r="E147"/>
  <c r="E148"/>
  <c r="F177"/>
  <c r="G177"/>
  <c r="G179"/>
  <c r="E159"/>
  <c r="F159"/>
  <c r="G159"/>
  <c r="G163"/>
  <c r="G168"/>
  <c r="G170"/>
  <c r="F164"/>
  <c r="G181"/>
  <c r="H163"/>
  <c r="H170"/>
  <c r="G185"/>
  <c r="H181"/>
  <c r="H179"/>
</calcChain>
</file>

<file path=xl/sharedStrings.xml><?xml version="1.0" encoding="utf-8"?>
<sst xmlns="http://schemas.openxmlformats.org/spreadsheetml/2006/main" count="204" uniqueCount="129">
  <si>
    <t>A.G.</t>
  </si>
  <si>
    <t xml:space="preserve">   Cas Dourlat</t>
  </si>
  <si>
    <t>Stock</t>
  </si>
  <si>
    <t>Ventes</t>
  </si>
  <si>
    <t>Production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</si>
  <si>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</si>
  <si>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</si>
  <si>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</si>
  <si>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</si>
  <si>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</si>
  <si>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</si>
  <si>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</si>
  <si>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</si>
  <si>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</si>
  <si>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</si>
  <si>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</si>
  <si>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</si>
  <si>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Stock moyen</t>
  </si>
  <si>
    <t>tonnes</t>
  </si>
  <si>
    <t>Stock maxi</t>
  </si>
  <si>
    <t>palettes</t>
  </si>
  <si>
    <t>Stock retenu pour le calcul</t>
  </si>
  <si>
    <t>Hypothèses</t>
  </si>
  <si>
    <t>Commandes</t>
  </si>
  <si>
    <t>kg/palette</t>
  </si>
  <si>
    <t>commandes de détail/jour</t>
  </si>
  <si>
    <t>tonnes à stocker</t>
  </si>
  <si>
    <t>lignes /commande</t>
  </si>
  <si>
    <t>palettes à stocker</t>
  </si>
  <si>
    <t>cartons par ligne</t>
  </si>
  <si>
    <t>de remplissage</t>
  </si>
  <si>
    <t>commandes dépôts/jour</t>
  </si>
  <si>
    <t>palettes de capacité</t>
  </si>
  <si>
    <t>hauteurs de palettes</t>
  </si>
  <si>
    <t>palette par ligne</t>
  </si>
  <si>
    <t>références en stock</t>
  </si>
  <si>
    <t>C.O.S.</t>
  </si>
  <si>
    <t>Matériel utilisé</t>
  </si>
  <si>
    <t xml:space="preserve">Chariot élévateur </t>
  </si>
  <si>
    <t>Largeur d'allée</t>
  </si>
  <si>
    <t>m</t>
  </si>
  <si>
    <t>Largeur de la maille</t>
  </si>
  <si>
    <t>m2</t>
  </si>
  <si>
    <t>Surface de stockage nécessaire</t>
  </si>
  <si>
    <t>m2/palette</t>
  </si>
  <si>
    <t>Surfaces</t>
  </si>
  <si>
    <t>Surface totale de stockage</t>
  </si>
  <si>
    <t>sur</t>
  </si>
  <si>
    <t>Surface de réception</t>
  </si>
  <si>
    <t>jour d'activité soit</t>
  </si>
  <si>
    <t>tonnes ou</t>
  </si>
  <si>
    <t>Surface d'expédition</t>
  </si>
  <si>
    <t>Surface de préparation</t>
  </si>
  <si>
    <t>Surface totale</t>
  </si>
  <si>
    <t>Dimensions</t>
  </si>
  <si>
    <t xml:space="preserve">Hauteur </t>
  </si>
  <si>
    <t>Terrain</t>
  </si>
  <si>
    <t>Déchargement des véhicules</t>
  </si>
  <si>
    <t>mn/palette</t>
  </si>
  <si>
    <t>Contrôle, affectation</t>
  </si>
  <si>
    <t>Réception</t>
  </si>
  <si>
    <t>palettes/jour</t>
  </si>
  <si>
    <t>mn</t>
  </si>
  <si>
    <t>Mise en stock</t>
  </si>
  <si>
    <t>Temps de prise d'une palette au sol</t>
  </si>
  <si>
    <t>cmn</t>
  </si>
  <si>
    <t>Distance moyenne de dépose</t>
  </si>
  <si>
    <t>Temps de déplacement avec une palette</t>
  </si>
  <si>
    <t>cmn/m/palette</t>
  </si>
  <si>
    <t>soit</t>
  </si>
  <si>
    <t>Temps de dépose au niveau 3</t>
  </si>
  <si>
    <t>Retour à vide</t>
  </si>
  <si>
    <t>Temps de déplacement à vide</t>
  </si>
  <si>
    <t>total</t>
  </si>
  <si>
    <t>cmn/palette</t>
  </si>
  <si>
    <t xml:space="preserve">Appro zone de préparation </t>
  </si>
  <si>
    <t>Déplacement vers lieu de prise</t>
  </si>
  <si>
    <t>Distance moyenne</t>
  </si>
  <si>
    <t>Prise au niveau 3 et dépose au niveau 1</t>
  </si>
  <si>
    <t xml:space="preserve">Sorties palettes entières (pour dépôts) </t>
  </si>
  <si>
    <t>Prise au niveau 3</t>
  </si>
  <si>
    <t>Dépose</t>
  </si>
  <si>
    <t>Activité</t>
  </si>
  <si>
    <t>Préparation des commandes de détail</t>
  </si>
  <si>
    <t>cartons par jour</t>
  </si>
  <si>
    <t>Chargement des véhicules</t>
  </si>
  <si>
    <t>Contrôle</t>
  </si>
  <si>
    <t>Chargement</t>
  </si>
  <si>
    <t>Détermination des effectifs</t>
  </si>
  <si>
    <t>Manutentionnaires</t>
  </si>
  <si>
    <t>Charge de travail</t>
  </si>
  <si>
    <t>Effectif</t>
  </si>
  <si>
    <t>Caristes</t>
  </si>
  <si>
    <t>Préparateurs</t>
  </si>
  <si>
    <t>Productivité</t>
  </si>
  <si>
    <t>colis/personne/heure</t>
  </si>
  <si>
    <t>Coût d'exploitation</t>
  </si>
  <si>
    <t>Amortissements</t>
  </si>
  <si>
    <t>Ans</t>
  </si>
  <si>
    <t>Prix/unité</t>
  </si>
  <si>
    <t>Quantité</t>
  </si>
  <si>
    <t>Bâtiment</t>
  </si>
  <si>
    <t>Casiers</t>
  </si>
  <si>
    <t>Chariots élévateurs</t>
  </si>
  <si>
    <t>Chariots de préparation</t>
  </si>
  <si>
    <t>Palettes</t>
  </si>
  <si>
    <t>Assurance</t>
  </si>
  <si>
    <t>par an</t>
  </si>
  <si>
    <t>Entretien du bâtiment</t>
  </si>
  <si>
    <t>Entretien matériel</t>
  </si>
  <si>
    <t>EDF, chauffage, etc.</t>
  </si>
  <si>
    <t>Salaires plus charges</t>
  </si>
  <si>
    <t>Directeur</t>
  </si>
  <si>
    <t>Secrétaire</t>
  </si>
  <si>
    <t>coût total</t>
  </si>
  <si>
    <t>hors terrain</t>
  </si>
  <si>
    <t>hors frais financiers</t>
  </si>
  <si>
    <t>C.A.</t>
  </si>
  <si>
    <t>€/m2</t>
  </si>
  <si>
    <t>Invest (K€)</t>
  </si>
  <si>
    <t>Amort. (K€)</t>
  </si>
  <si>
    <t>K€/an</t>
  </si>
  <si>
    <t>M€</t>
  </si>
  <si>
    <t>longueur palette (m)</t>
  </si>
  <si>
    <t>largeur palette (m)</t>
  </si>
  <si>
    <t>Case jaune = donnée à entrer</t>
  </si>
  <si>
    <t>K€ / an</t>
  </si>
  <si>
    <t>Pertes, destruction palettes</t>
  </si>
  <si>
    <t>Progiciel</t>
  </si>
</sst>
</file>

<file path=xl/styles.xml><?xml version="1.0" encoding="utf-8"?>
<styleSheet xmlns="http://schemas.openxmlformats.org/spreadsheetml/2006/main">
  <numFmts count="2">
    <numFmt numFmtId="172" formatCode="0.0"/>
    <numFmt numFmtId="173" formatCode="0.0%"/>
  </numFmts>
  <fonts count="7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8"/>
      <name val="Tahoma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left"/>
    </xf>
    <xf numFmtId="173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1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173" fontId="0" fillId="0" borderId="4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/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6" xfId="0" applyBorder="1"/>
    <xf numFmtId="0" fontId="0" fillId="0" borderId="8" xfId="0" applyBorder="1"/>
    <xf numFmtId="0" fontId="0" fillId="0" borderId="7" xfId="0" applyBorder="1" applyAlignment="1"/>
    <xf numFmtId="0" fontId="0" fillId="0" borderId="11" xfId="0" applyBorder="1"/>
    <xf numFmtId="1" fontId="1" fillId="0" borderId="0" xfId="0" applyNumberFormat="1" applyFont="1" applyBorder="1" applyAlignment="1">
      <alignment horizontal="center"/>
    </xf>
    <xf numFmtId="0" fontId="0" fillId="0" borderId="0" xfId="0" applyBorder="1" applyAlignment="1"/>
    <xf numFmtId="1" fontId="0" fillId="0" borderId="0" xfId="0" applyNumberFormat="1" applyBorder="1" applyAlignment="1">
      <alignment horizontal="center"/>
    </xf>
    <xf numFmtId="0" fontId="1" fillId="0" borderId="7" xfId="0" applyFont="1" applyBorder="1"/>
    <xf numFmtId="172" fontId="0" fillId="0" borderId="0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/>
    <xf numFmtId="172" fontId="0" fillId="0" borderId="5" xfId="0" applyNumberForma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172" fontId="0" fillId="0" borderId="6" xfId="0" applyNumberFormat="1" applyBorder="1"/>
    <xf numFmtId="0" fontId="3" fillId="0" borderId="7" xfId="0" applyFont="1" applyBorder="1"/>
    <xf numFmtId="172" fontId="0" fillId="0" borderId="8" xfId="0" applyNumberFormat="1" applyBorder="1"/>
    <xf numFmtId="0" fontId="0" fillId="0" borderId="12" xfId="0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0" fillId="0" borderId="7" xfId="0" applyBorder="1" applyAlignment="1">
      <alignment horizontal="left"/>
    </xf>
    <xf numFmtId="1" fontId="0" fillId="0" borderId="8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173" fontId="0" fillId="0" borderId="2" xfId="0" applyNumberFormat="1" applyBorder="1"/>
    <xf numFmtId="0" fontId="0" fillId="0" borderId="3" xfId="0" applyBorder="1" applyAlignment="1">
      <alignment horizontal="center"/>
    </xf>
    <xf numFmtId="0" fontId="6" fillId="0" borderId="0" xfId="0" applyFont="1"/>
    <xf numFmtId="173" fontId="0" fillId="0" borderId="0" xfId="0" applyNumberFormat="1"/>
    <xf numFmtId="0" fontId="0" fillId="2" borderId="0" xfId="0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9" fontId="0" fillId="2" borderId="9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7" xfId="0" applyFill="1" applyBorder="1"/>
    <xf numFmtId="9" fontId="0" fillId="0" borderId="0" xfId="0" applyNumberFormat="1"/>
    <xf numFmtId="0" fontId="0" fillId="0" borderId="7" xfId="0" applyFill="1" applyBorder="1"/>
    <xf numFmtId="2" fontId="0" fillId="0" borderId="0" xfId="0" applyNumberFormat="1" applyBorder="1" applyAlignment="1">
      <alignment horizontal="center"/>
    </xf>
    <xf numFmtId="0" fontId="1" fillId="4" borderId="0" xfId="0" applyFon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5312500000000001"/>
          <c:y val="0.10204081632653061"/>
          <c:w val="0.63437500000000002"/>
          <c:h val="0.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Feuil1!$A$5:$A$16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Feuil1!$B$5:$B$16</c:f>
              <c:numCache>
                <c:formatCode>General</c:formatCode>
                <c:ptCount val="12"/>
                <c:pt idx="0">
                  <c:v>1700</c:v>
                </c:pt>
                <c:pt idx="1">
                  <c:v>1800</c:v>
                </c:pt>
                <c:pt idx="2">
                  <c:v>1900</c:v>
                </c:pt>
                <c:pt idx="3">
                  <c:v>1800</c:v>
                </c:pt>
                <c:pt idx="4">
                  <c:v>2000</c:v>
                </c:pt>
                <c:pt idx="5">
                  <c:v>2400</c:v>
                </c:pt>
                <c:pt idx="6">
                  <c:v>2200</c:v>
                </c:pt>
                <c:pt idx="7">
                  <c:v>1800</c:v>
                </c:pt>
                <c:pt idx="8">
                  <c:v>1700</c:v>
                </c:pt>
                <c:pt idx="9">
                  <c:v>1900</c:v>
                </c:pt>
                <c:pt idx="10">
                  <c:v>1800</c:v>
                </c:pt>
                <c:pt idx="11">
                  <c:v>1900</c:v>
                </c:pt>
              </c:numCache>
            </c:numRef>
          </c:val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Feuil1!$A$5:$A$16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Feuil1!$C$5:$C$16</c:f>
              <c:numCache>
                <c:formatCode>General</c:formatCode>
                <c:ptCount val="12"/>
                <c:pt idx="0">
                  <c:v>1900</c:v>
                </c:pt>
                <c:pt idx="1">
                  <c:v>2000</c:v>
                </c:pt>
                <c:pt idx="2">
                  <c:v>2500</c:v>
                </c:pt>
                <c:pt idx="3">
                  <c:v>2200</c:v>
                </c:pt>
                <c:pt idx="4">
                  <c:v>1800</c:v>
                </c:pt>
                <c:pt idx="5">
                  <c:v>2000</c:v>
                </c:pt>
                <c:pt idx="6">
                  <c:v>2200</c:v>
                </c:pt>
                <c:pt idx="7">
                  <c:v>1700</c:v>
                </c:pt>
                <c:pt idx="8">
                  <c:v>2300</c:v>
                </c:pt>
                <c:pt idx="9">
                  <c:v>2600</c:v>
                </c:pt>
                <c:pt idx="10">
                  <c:v>2400</c:v>
                </c:pt>
                <c:pt idx="11">
                  <c:v>2600</c:v>
                </c:pt>
              </c:numCache>
            </c:numRef>
          </c:val>
        </c:ser>
        <c:ser>
          <c:idx val="2"/>
          <c:order val="2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Feuil1!$A$5:$A$16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Feuil1!$D$5:$D$16</c:f>
              <c:numCache>
                <c:formatCode>General</c:formatCode>
                <c:ptCount val="12"/>
                <c:pt idx="0">
                  <c:v>2000</c:v>
                </c:pt>
                <c:pt idx="1">
                  <c:v>2100</c:v>
                </c:pt>
                <c:pt idx="2">
                  <c:v>2400</c:v>
                </c:pt>
                <c:pt idx="3">
                  <c:v>2400</c:v>
                </c:pt>
                <c:pt idx="4">
                  <c:v>2200</c:v>
                </c:pt>
                <c:pt idx="5">
                  <c:v>1800</c:v>
                </c:pt>
                <c:pt idx="6">
                  <c:v>1800</c:v>
                </c:pt>
                <c:pt idx="7">
                  <c:v>1600</c:v>
                </c:pt>
                <c:pt idx="8">
                  <c:v>2500</c:v>
                </c:pt>
                <c:pt idx="9">
                  <c:v>2500</c:v>
                </c:pt>
                <c:pt idx="10">
                  <c:v>2500</c:v>
                </c:pt>
                <c:pt idx="11">
                  <c:v>2500</c:v>
                </c:pt>
              </c:numCache>
            </c:numRef>
          </c:val>
        </c:ser>
        <c:axId val="157498368"/>
        <c:axId val="157508352"/>
      </c:barChart>
      <c:catAx>
        <c:axId val="15749836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7508352"/>
        <c:crosses val="autoZero"/>
        <c:lblAlgn val="ctr"/>
        <c:lblOffset val="100"/>
        <c:tickLblSkip val="2"/>
        <c:tickMarkSkip val="1"/>
      </c:catAx>
      <c:valAx>
        <c:axId val="1575083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7498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187500000000002"/>
          <c:y val="0.2857142857142857"/>
          <c:w val="0.15312499999999996"/>
          <c:h val="0.2367346938775509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4921259845" footer="0.4921259845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8.2630691399662726E-2"/>
          <c:y val="7.7160726395900839E-2"/>
          <c:w val="0.88532883642495785"/>
          <c:h val="0.7283972571773038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Feuil1!$A$5:$A$16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Feuil1!$B$5:$B$16</c:f>
              <c:numCache>
                <c:formatCode>General</c:formatCode>
                <c:ptCount val="12"/>
                <c:pt idx="0">
                  <c:v>1700</c:v>
                </c:pt>
                <c:pt idx="1">
                  <c:v>1800</c:v>
                </c:pt>
                <c:pt idx="2">
                  <c:v>1900</c:v>
                </c:pt>
                <c:pt idx="3">
                  <c:v>1800</c:v>
                </c:pt>
                <c:pt idx="4">
                  <c:v>2000</c:v>
                </c:pt>
                <c:pt idx="5">
                  <c:v>2400</c:v>
                </c:pt>
                <c:pt idx="6">
                  <c:v>2200</c:v>
                </c:pt>
                <c:pt idx="7">
                  <c:v>1800</c:v>
                </c:pt>
                <c:pt idx="8">
                  <c:v>1700</c:v>
                </c:pt>
                <c:pt idx="9">
                  <c:v>1900</c:v>
                </c:pt>
                <c:pt idx="10">
                  <c:v>1800</c:v>
                </c:pt>
                <c:pt idx="11">
                  <c:v>1900</c:v>
                </c:pt>
              </c:numCache>
            </c:numRef>
          </c:val>
        </c:ser>
        <c:axId val="157522560"/>
        <c:axId val="157528448"/>
      </c:barChart>
      <c:catAx>
        <c:axId val="1575225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7528448"/>
        <c:crosses val="autoZero"/>
        <c:lblAlgn val="ctr"/>
        <c:lblOffset val="100"/>
        <c:tickLblSkip val="1"/>
        <c:tickMarkSkip val="1"/>
      </c:catAx>
      <c:valAx>
        <c:axId val="1575284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7522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85725</xdr:rowOff>
    </xdr:from>
    <xdr:to>
      <xdr:col>7</xdr:col>
      <xdr:colOff>781050</xdr:colOff>
      <xdr:row>16</xdr:row>
      <xdr:rowOff>152400</xdr:rowOff>
    </xdr:to>
    <xdr:graphicFrame macro="">
      <xdr:nvGraphicFramePr>
        <xdr:cNvPr id="10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16</xdr:row>
      <xdr:rowOff>142875</xdr:rowOff>
    </xdr:from>
    <xdr:to>
      <xdr:col>7</xdr:col>
      <xdr:colOff>723900</xdr:colOff>
      <xdr:row>35</xdr:row>
      <xdr:rowOff>152400</xdr:rowOff>
    </xdr:to>
    <xdr:graphicFrame macro="">
      <xdr:nvGraphicFramePr>
        <xdr:cNvPr id="105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752475</xdr:colOff>
      <xdr:row>151</xdr:row>
      <xdr:rowOff>0</xdr:rowOff>
    </xdr:from>
    <xdr:to>
      <xdr:col>5</xdr:col>
      <xdr:colOff>752475</xdr:colOff>
      <xdr:row>151</xdr:row>
      <xdr:rowOff>0</xdr:rowOff>
    </xdr:to>
    <xdr:sp macro="" textlink="">
      <xdr:nvSpPr>
        <xdr:cNvPr id="1052" name="Rectangle 3"/>
        <xdr:cNvSpPr>
          <a:spLocks noChangeArrowheads="1"/>
        </xdr:cNvSpPr>
      </xdr:nvSpPr>
      <xdr:spPr bwMode="auto">
        <a:xfrm>
          <a:off x="752475" y="24650700"/>
          <a:ext cx="34099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95250</xdr:colOff>
      <xdr:row>151</xdr:row>
      <xdr:rowOff>0</xdr:rowOff>
    </xdr:from>
    <xdr:to>
      <xdr:col>1</xdr:col>
      <xdr:colOff>200025</xdr:colOff>
      <xdr:row>151</xdr:row>
      <xdr:rowOff>0</xdr:rowOff>
    </xdr:to>
    <xdr:sp macro="" textlink="">
      <xdr:nvSpPr>
        <xdr:cNvPr id="1053" name="Rectangle 4"/>
        <xdr:cNvSpPr>
          <a:spLocks noChangeArrowheads="1"/>
        </xdr:cNvSpPr>
      </xdr:nvSpPr>
      <xdr:spPr bwMode="auto">
        <a:xfrm>
          <a:off x="857250" y="24650700"/>
          <a:ext cx="1047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190500</xdr:colOff>
      <xdr:row>151</xdr:row>
      <xdr:rowOff>0</xdr:rowOff>
    </xdr:from>
    <xdr:to>
      <xdr:col>1</xdr:col>
      <xdr:colOff>295275</xdr:colOff>
      <xdr:row>151</xdr:row>
      <xdr:rowOff>0</xdr:rowOff>
    </xdr:to>
    <xdr:sp macro="" textlink="">
      <xdr:nvSpPr>
        <xdr:cNvPr id="1054" name="Rectangle 5"/>
        <xdr:cNvSpPr>
          <a:spLocks noChangeArrowheads="1"/>
        </xdr:cNvSpPr>
      </xdr:nvSpPr>
      <xdr:spPr bwMode="auto">
        <a:xfrm>
          <a:off x="952500" y="24650700"/>
          <a:ext cx="1047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151</xdr:row>
      <xdr:rowOff>0</xdr:rowOff>
    </xdr:from>
    <xdr:to>
      <xdr:col>6</xdr:col>
      <xdr:colOff>0</xdr:colOff>
      <xdr:row>151</xdr:row>
      <xdr:rowOff>0</xdr:rowOff>
    </xdr:to>
    <xdr:sp macro="" textlink="">
      <xdr:nvSpPr>
        <xdr:cNvPr id="1055" name="Rectangle 6"/>
        <xdr:cNvSpPr>
          <a:spLocks noChangeArrowheads="1"/>
        </xdr:cNvSpPr>
      </xdr:nvSpPr>
      <xdr:spPr bwMode="auto">
        <a:xfrm>
          <a:off x="762000" y="24650700"/>
          <a:ext cx="34099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6"/>
  <sheetViews>
    <sheetView tabSelected="1" topLeftCell="A28" workbookViewId="0">
      <selection activeCell="B45" sqref="B45"/>
    </sheetView>
  </sheetViews>
  <sheetFormatPr baseColWidth="10" defaultRowHeight="12.75"/>
  <cols>
    <col min="2" max="2" width="9.42578125" style="1" customWidth="1"/>
    <col min="3" max="3" width="8.7109375" style="1" customWidth="1"/>
    <col min="4" max="4" width="10.85546875" style="1" customWidth="1"/>
    <col min="8" max="8" width="12" customWidth="1"/>
  </cols>
  <sheetData>
    <row r="1" spans="1:6" ht="30">
      <c r="A1" s="71" t="s">
        <v>0</v>
      </c>
      <c r="D1" s="15" t="s">
        <v>1</v>
      </c>
      <c r="E1" s="16"/>
      <c r="F1" s="17"/>
    </row>
    <row r="4" spans="1:6">
      <c r="A4" s="18"/>
      <c r="B4" s="19" t="s">
        <v>2</v>
      </c>
      <c r="C4" s="19" t="s">
        <v>3</v>
      </c>
      <c r="D4" s="19" t="s">
        <v>4</v>
      </c>
    </row>
    <row r="5" spans="1:6">
      <c r="A5" s="18" t="s">
        <v>5</v>
      </c>
      <c r="B5" s="20">
        <v>1700</v>
      </c>
      <c r="C5" s="20">
        <v>1900</v>
      </c>
      <c r="D5" s="20">
        <v>2000</v>
      </c>
    </row>
    <row r="6" spans="1:6">
      <c r="A6" s="18" t="s">
        <v>6</v>
      </c>
      <c r="B6" s="20">
        <f>B5-C5+D5</f>
        <v>1800</v>
      </c>
      <c r="C6" s="20">
        <v>2000</v>
      </c>
      <c r="D6" s="20">
        <v>2100</v>
      </c>
    </row>
    <row r="7" spans="1:6">
      <c r="A7" s="18" t="s">
        <v>7</v>
      </c>
      <c r="B7" s="20">
        <f t="shared" ref="B7:B16" si="0">B6-C6+D6</f>
        <v>1900</v>
      </c>
      <c r="C7" s="20">
        <v>2500</v>
      </c>
      <c r="D7" s="20">
        <v>2400</v>
      </c>
    </row>
    <row r="8" spans="1:6">
      <c r="A8" s="18" t="s">
        <v>8</v>
      </c>
      <c r="B8" s="20">
        <f t="shared" si="0"/>
        <v>1800</v>
      </c>
      <c r="C8" s="20">
        <v>2200</v>
      </c>
      <c r="D8" s="20">
        <v>2400</v>
      </c>
    </row>
    <row r="9" spans="1:6">
      <c r="A9" s="18" t="s">
        <v>9</v>
      </c>
      <c r="B9" s="20">
        <f t="shared" si="0"/>
        <v>2000</v>
      </c>
      <c r="C9" s="20">
        <v>1800</v>
      </c>
      <c r="D9" s="20">
        <v>2200</v>
      </c>
    </row>
    <row r="10" spans="1:6">
      <c r="A10" s="18" t="s">
        <v>10</v>
      </c>
      <c r="B10" s="20">
        <f t="shared" si="0"/>
        <v>2400</v>
      </c>
      <c r="C10" s="20">
        <v>2000</v>
      </c>
      <c r="D10" s="20">
        <v>1800</v>
      </c>
    </row>
    <row r="11" spans="1:6">
      <c r="A11" s="18" t="s">
        <v>11</v>
      </c>
      <c r="B11" s="20">
        <f t="shared" si="0"/>
        <v>2200</v>
      </c>
      <c r="C11" s="20">
        <v>2200</v>
      </c>
      <c r="D11" s="20">
        <v>1800</v>
      </c>
    </row>
    <row r="12" spans="1:6">
      <c r="A12" s="18" t="s">
        <v>12</v>
      </c>
      <c r="B12" s="20">
        <f t="shared" si="0"/>
        <v>1800</v>
      </c>
      <c r="C12" s="20">
        <v>1700</v>
      </c>
      <c r="D12" s="20">
        <v>1600</v>
      </c>
    </row>
    <row r="13" spans="1:6">
      <c r="A13" s="18" t="s">
        <v>13</v>
      </c>
      <c r="B13" s="20">
        <f t="shared" si="0"/>
        <v>1700</v>
      </c>
      <c r="C13" s="20">
        <v>2300</v>
      </c>
      <c r="D13" s="20">
        <v>2500</v>
      </c>
    </row>
    <row r="14" spans="1:6">
      <c r="A14" s="18" t="s">
        <v>14</v>
      </c>
      <c r="B14" s="20">
        <f t="shared" si="0"/>
        <v>1900</v>
      </c>
      <c r="C14" s="20">
        <v>2600</v>
      </c>
      <c r="D14" s="20">
        <v>2500</v>
      </c>
    </row>
    <row r="15" spans="1:6">
      <c r="A15" s="18" t="s">
        <v>15</v>
      </c>
      <c r="B15" s="20">
        <f t="shared" si="0"/>
        <v>1800</v>
      </c>
      <c r="C15" s="20">
        <v>2400</v>
      </c>
      <c r="D15" s="20">
        <v>2500</v>
      </c>
    </row>
    <row r="16" spans="1:6">
      <c r="A16" s="18" t="s">
        <v>16</v>
      </c>
      <c r="B16" s="20">
        <f t="shared" si="0"/>
        <v>1900</v>
      </c>
      <c r="C16" s="20">
        <v>2600</v>
      </c>
      <c r="D16" s="20">
        <v>2500</v>
      </c>
    </row>
    <row r="17" spans="1:4">
      <c r="A17" s="18"/>
      <c r="B17" s="21">
        <f>AVERAGE(B5:B16)</f>
        <v>1908.3333333333333</v>
      </c>
      <c r="C17" s="19">
        <f>SUM(C5:C16)</f>
        <v>26200</v>
      </c>
      <c r="D17" s="19">
        <f>SUM(D5:D16)</f>
        <v>26300</v>
      </c>
    </row>
    <row r="37" spans="1:9">
      <c r="A37" s="20">
        <v>2400</v>
      </c>
      <c r="B37" s="21">
        <v>1</v>
      </c>
      <c r="C37" s="22">
        <f t="shared" ref="C37:C42" si="1">B37/$B$43</f>
        <v>8.3333333333333329E-2</v>
      </c>
      <c r="D37" s="22">
        <f>D38+C37</f>
        <v>1</v>
      </c>
      <c r="G37" s="6"/>
      <c r="I37" s="6"/>
    </row>
    <row r="38" spans="1:9">
      <c r="A38" s="20">
        <v>2200</v>
      </c>
      <c r="B38" s="20">
        <v>1</v>
      </c>
      <c r="C38" s="22">
        <f t="shared" si="1"/>
        <v>8.3333333333333329E-2</v>
      </c>
      <c r="D38" s="22">
        <f>D39+C38</f>
        <v>0.91666666666666674</v>
      </c>
      <c r="G38" s="6"/>
      <c r="I38" s="6"/>
    </row>
    <row r="39" spans="1:9">
      <c r="A39" s="20">
        <v>2000</v>
      </c>
      <c r="B39" s="20">
        <v>1</v>
      </c>
      <c r="C39" s="22">
        <f t="shared" si="1"/>
        <v>8.3333333333333329E-2</v>
      </c>
      <c r="D39" s="22">
        <f>D40+C39</f>
        <v>0.83333333333333337</v>
      </c>
      <c r="G39" s="6"/>
      <c r="I39" s="6"/>
    </row>
    <row r="40" spans="1:9">
      <c r="A40" s="20">
        <v>1900</v>
      </c>
      <c r="B40" s="20">
        <v>3</v>
      </c>
      <c r="C40" s="22">
        <f t="shared" si="1"/>
        <v>0.25</v>
      </c>
      <c r="D40" s="22">
        <f>D41+C40</f>
        <v>0.75</v>
      </c>
      <c r="G40" s="6"/>
      <c r="I40" s="6"/>
    </row>
    <row r="41" spans="1:9">
      <c r="A41" s="20">
        <v>1800</v>
      </c>
      <c r="B41" s="20">
        <v>4</v>
      </c>
      <c r="C41" s="22">
        <f t="shared" si="1"/>
        <v>0.33333333333333331</v>
      </c>
      <c r="D41" s="22">
        <f>D42+C41</f>
        <v>0.5</v>
      </c>
      <c r="G41" s="6"/>
      <c r="I41" s="6"/>
    </row>
    <row r="42" spans="1:9">
      <c r="A42" s="20">
        <v>1700</v>
      </c>
      <c r="B42" s="20">
        <v>2</v>
      </c>
      <c r="C42" s="22">
        <f t="shared" si="1"/>
        <v>0.16666666666666666</v>
      </c>
      <c r="D42" s="22">
        <f>C42</f>
        <v>0.16666666666666666</v>
      </c>
    </row>
    <row r="43" spans="1:9">
      <c r="A43" s="20"/>
      <c r="B43" s="21">
        <f>SUM(B37:B42)</f>
        <v>12</v>
      </c>
      <c r="C43" s="20"/>
      <c r="D43" s="20"/>
    </row>
    <row r="44" spans="1:9">
      <c r="A44" t="s">
        <v>17</v>
      </c>
      <c r="B44" s="14">
        <f>B17</f>
        <v>1908.3333333333333</v>
      </c>
      <c r="C44" t="s">
        <v>18</v>
      </c>
      <c r="D44" s="1" t="s">
        <v>19</v>
      </c>
      <c r="E44" s="1">
        <f>MAX(B5:B16)</f>
        <v>2400</v>
      </c>
    </row>
    <row r="45" spans="1:9">
      <c r="B45" s="6" t="e">
        <f>B44*1000/$A$53</f>
        <v>#DIV/0!</v>
      </c>
      <c r="C45" t="s">
        <v>20</v>
      </c>
      <c r="E45" s="6" t="e">
        <f>E44*1000/A53</f>
        <v>#DIV/0!</v>
      </c>
    </row>
    <row r="47" spans="1:9">
      <c r="A47" s="5" t="s">
        <v>21</v>
      </c>
      <c r="B47" s="5"/>
      <c r="D47" s="73"/>
      <c r="E47" t="s">
        <v>18</v>
      </c>
      <c r="F47" s="84" t="s">
        <v>125</v>
      </c>
      <c r="G47" s="85"/>
      <c r="H47" s="85"/>
    </row>
    <row r="48" spans="1:9">
      <c r="D48" s="6" t="e">
        <f>D47*1000/$A$53</f>
        <v>#DIV/0!</v>
      </c>
      <c r="E48" t="s">
        <v>20</v>
      </c>
    </row>
    <row r="51" spans="1:8">
      <c r="A51" s="32" t="s">
        <v>22</v>
      </c>
      <c r="B51" s="33"/>
      <c r="C51" s="24"/>
      <c r="E51" s="31" t="s">
        <v>23</v>
      </c>
      <c r="F51" s="23"/>
      <c r="G51" s="23"/>
      <c r="H51" s="24"/>
    </row>
    <row r="52" spans="1:8">
      <c r="A52" s="25"/>
      <c r="B52" s="11"/>
      <c r="C52" s="26"/>
      <c r="E52" s="25"/>
      <c r="F52" s="13"/>
      <c r="G52" s="11"/>
      <c r="H52" s="26"/>
    </row>
    <row r="53" spans="1:8">
      <c r="A53" s="74"/>
      <c r="B53" s="11" t="s">
        <v>24</v>
      </c>
      <c r="C53" s="26"/>
      <c r="E53" s="27">
        <v>98</v>
      </c>
      <c r="F53" s="13" t="s">
        <v>25</v>
      </c>
      <c r="G53" s="11"/>
      <c r="H53" s="26"/>
    </row>
    <row r="54" spans="1:8">
      <c r="A54" s="75"/>
      <c r="B54" s="13" t="s">
        <v>26</v>
      </c>
      <c r="C54" s="26"/>
      <c r="E54" s="27"/>
      <c r="F54" s="11">
        <v>15</v>
      </c>
      <c r="G54" s="13" t="s">
        <v>27</v>
      </c>
      <c r="H54" s="26"/>
    </row>
    <row r="55" spans="1:8">
      <c r="A55" s="78" t="e">
        <f>A54/(A53/1000)</f>
        <v>#DIV/0!</v>
      </c>
      <c r="B55" s="13" t="s">
        <v>28</v>
      </c>
      <c r="C55" s="26"/>
      <c r="E55" s="27"/>
      <c r="F55" s="11">
        <v>10</v>
      </c>
      <c r="G55" s="13" t="s">
        <v>29</v>
      </c>
      <c r="H55" s="26"/>
    </row>
    <row r="56" spans="1:8">
      <c r="A56" s="76"/>
      <c r="B56" s="13" t="s">
        <v>30</v>
      </c>
      <c r="C56" s="26"/>
      <c r="E56" s="27">
        <v>2</v>
      </c>
      <c r="F56" s="13" t="s">
        <v>31</v>
      </c>
      <c r="G56" s="11"/>
      <c r="H56" s="26"/>
    </row>
    <row r="57" spans="1:8">
      <c r="A57" s="78" t="e">
        <f>A55/A56</f>
        <v>#DIV/0!</v>
      </c>
      <c r="B57" s="13" t="s">
        <v>32</v>
      </c>
      <c r="C57" s="26"/>
      <c r="E57" s="27"/>
      <c r="F57" s="11">
        <v>8</v>
      </c>
      <c r="G57" s="13" t="s">
        <v>27</v>
      </c>
      <c r="H57" s="26"/>
    </row>
    <row r="58" spans="1:8">
      <c r="A58" s="75"/>
      <c r="B58" s="13" t="s">
        <v>33</v>
      </c>
      <c r="C58" s="26"/>
      <c r="E58" s="27"/>
      <c r="F58" s="11">
        <v>1</v>
      </c>
      <c r="G58" s="13" t="s">
        <v>34</v>
      </c>
      <c r="H58" s="26"/>
    </row>
    <row r="59" spans="1:8">
      <c r="A59" s="75"/>
      <c r="B59" s="13" t="s">
        <v>123</v>
      </c>
      <c r="C59" s="26"/>
      <c r="E59" s="28"/>
      <c r="F59" s="29"/>
      <c r="G59" s="29"/>
      <c r="H59" s="30"/>
    </row>
    <row r="60" spans="1:8">
      <c r="A60" s="75"/>
      <c r="B60" s="13" t="s">
        <v>124</v>
      </c>
      <c r="C60" s="26"/>
    </row>
    <row r="61" spans="1:8">
      <c r="A61" s="75"/>
      <c r="B61" s="13" t="s">
        <v>35</v>
      </c>
      <c r="C61" s="26"/>
    </row>
    <row r="62" spans="1:8">
      <c r="A62" s="77"/>
      <c r="B62" s="34" t="s">
        <v>36</v>
      </c>
      <c r="C62" s="30"/>
    </row>
    <row r="63" spans="1:8">
      <c r="A63" s="1"/>
      <c r="B63" s="5"/>
    </row>
    <row r="64" spans="1:8">
      <c r="A64" s="32" t="s">
        <v>37</v>
      </c>
      <c r="B64" s="33"/>
      <c r="C64" s="33"/>
      <c r="D64" s="33"/>
      <c r="E64" s="35"/>
    </row>
    <row r="65" spans="1:7">
      <c r="A65" s="25" t="s">
        <v>38</v>
      </c>
      <c r="B65" s="11"/>
      <c r="C65" s="11"/>
      <c r="D65" s="11"/>
      <c r="E65" s="36"/>
    </row>
    <row r="66" spans="1:7">
      <c r="A66" s="37" t="s">
        <v>39</v>
      </c>
      <c r="B66" s="11"/>
      <c r="C66" s="11"/>
      <c r="D66" s="79"/>
      <c r="E66" s="36" t="s">
        <v>40</v>
      </c>
    </row>
    <row r="67" spans="1:7">
      <c r="A67" s="25" t="s">
        <v>41</v>
      </c>
      <c r="B67" s="11"/>
      <c r="C67" s="11"/>
      <c r="D67" s="11">
        <f>((A60+2*0.1)+0.5*D66)*(A59+2*0.1)</f>
        <v>4.0000000000000008E-2</v>
      </c>
      <c r="E67" s="36" t="s">
        <v>42</v>
      </c>
    </row>
    <row r="68" spans="1:7">
      <c r="A68" s="28" t="s">
        <v>43</v>
      </c>
      <c r="B68" s="29"/>
      <c r="C68" s="29"/>
      <c r="D68" s="29" t="e">
        <f>D67/A58</f>
        <v>#DIV/0!</v>
      </c>
      <c r="E68" s="38" t="s">
        <v>44</v>
      </c>
    </row>
    <row r="71" spans="1:7">
      <c r="A71" s="32" t="s">
        <v>45</v>
      </c>
      <c r="B71" s="33"/>
      <c r="C71" s="33"/>
      <c r="D71" s="33"/>
      <c r="E71" s="23"/>
      <c r="F71" s="23"/>
      <c r="G71" s="35"/>
    </row>
    <row r="72" spans="1:7">
      <c r="A72" s="25" t="s">
        <v>46</v>
      </c>
      <c r="B72" s="11"/>
      <c r="C72" s="11"/>
      <c r="D72" s="39" t="e">
        <f>D48*D68</f>
        <v>#DIV/0!</v>
      </c>
      <c r="E72" s="12" t="s">
        <v>42</v>
      </c>
      <c r="F72" s="12"/>
      <c r="G72" s="36"/>
    </row>
    <row r="73" spans="1:7">
      <c r="A73" s="25"/>
      <c r="B73" s="11" t="e">
        <f>INT((D72/2)^0.5)+1</f>
        <v>#DIV/0!</v>
      </c>
      <c r="C73" s="11" t="s">
        <v>40</v>
      </c>
      <c r="D73" s="11" t="s">
        <v>47</v>
      </c>
      <c r="E73" s="11" t="e">
        <f>INT(D72/B73)+1</f>
        <v>#DIV/0!</v>
      </c>
      <c r="F73" s="12" t="s">
        <v>40</v>
      </c>
      <c r="G73" s="36"/>
    </row>
    <row r="74" spans="1:7">
      <c r="A74" s="25" t="s">
        <v>48</v>
      </c>
      <c r="B74" s="11"/>
      <c r="C74" s="11"/>
      <c r="D74" s="11"/>
      <c r="E74" s="12"/>
      <c r="F74" s="12"/>
      <c r="G74" s="36"/>
    </row>
    <row r="75" spans="1:7">
      <c r="A75" s="80"/>
      <c r="B75" s="40" t="s">
        <v>49</v>
      </c>
      <c r="C75" s="11"/>
      <c r="D75" s="41">
        <f>MAX(D5:D16)*A75/21</f>
        <v>0</v>
      </c>
      <c r="E75" s="12" t="s">
        <v>50</v>
      </c>
      <c r="F75" s="41" t="e">
        <f>D75*1000/A53</f>
        <v>#DIV/0!</v>
      </c>
      <c r="G75" s="36" t="s">
        <v>20</v>
      </c>
    </row>
    <row r="76" spans="1:7">
      <c r="A76" s="25"/>
      <c r="B76" s="12"/>
      <c r="C76" s="12"/>
      <c r="D76" s="39" t="e">
        <f>2*F75</f>
        <v>#DIV/0!</v>
      </c>
      <c r="E76" s="13" t="s">
        <v>42</v>
      </c>
      <c r="F76" s="41"/>
      <c r="G76" s="36"/>
    </row>
    <row r="77" spans="1:7">
      <c r="A77" s="25" t="s">
        <v>51</v>
      </c>
      <c r="B77" s="11"/>
      <c r="C77" s="11"/>
      <c r="D77" s="11"/>
      <c r="E77" s="13"/>
      <c r="F77" s="12"/>
      <c r="G77" s="36"/>
    </row>
    <row r="78" spans="1:7">
      <c r="A78" s="80"/>
      <c r="B78" s="40" t="s">
        <v>49</v>
      </c>
      <c r="C78" s="11"/>
      <c r="D78" s="41">
        <f>MAX($C$5:$C$16)*A78/21</f>
        <v>0</v>
      </c>
      <c r="E78" s="13" t="s">
        <v>50</v>
      </c>
      <c r="F78" s="41" t="e">
        <f>$D$78*1000/$A$53</f>
        <v>#DIV/0!</v>
      </c>
      <c r="G78" s="36" t="s">
        <v>20</v>
      </c>
    </row>
    <row r="79" spans="1:7">
      <c r="A79" s="25"/>
      <c r="B79" s="12"/>
      <c r="C79" s="12"/>
      <c r="D79" s="39" t="e">
        <f>2*$F$78</f>
        <v>#DIV/0!</v>
      </c>
      <c r="E79" s="13" t="s">
        <v>42</v>
      </c>
      <c r="F79" s="41"/>
      <c r="G79" s="36"/>
    </row>
    <row r="80" spans="1:7">
      <c r="A80" s="25" t="s">
        <v>52</v>
      </c>
      <c r="B80" s="11"/>
      <c r="C80" s="11"/>
      <c r="D80" s="11"/>
      <c r="E80" s="12"/>
      <c r="F80" s="12"/>
      <c r="G80" s="36"/>
    </row>
    <row r="81" spans="1:7">
      <c r="A81" s="80"/>
      <c r="B81" s="40" t="s">
        <v>49</v>
      </c>
      <c r="C81" s="11"/>
      <c r="D81" s="41">
        <f>MAX($C$5:$C$16)*A81/21</f>
        <v>0</v>
      </c>
      <c r="E81" s="13" t="s">
        <v>50</v>
      </c>
      <c r="F81" s="41" t="e">
        <f>$D$78*1000/$A$53</f>
        <v>#DIV/0!</v>
      </c>
      <c r="G81" s="36" t="s">
        <v>20</v>
      </c>
    </row>
    <row r="82" spans="1:7">
      <c r="A82" s="25"/>
      <c r="B82" s="40"/>
      <c r="C82" s="11"/>
      <c r="D82" s="39" t="e">
        <f>2*$F$78</f>
        <v>#DIV/0!</v>
      </c>
      <c r="E82" s="13" t="s">
        <v>42</v>
      </c>
      <c r="F82" s="41"/>
      <c r="G82" s="36"/>
    </row>
    <row r="83" spans="1:7" ht="11.25" customHeight="1">
      <c r="A83" s="25"/>
      <c r="B83" s="40"/>
      <c r="C83" s="11"/>
      <c r="D83" s="11"/>
      <c r="E83" s="12"/>
      <c r="F83" s="12"/>
      <c r="G83" s="36"/>
    </row>
    <row r="84" spans="1:7">
      <c r="A84" s="42" t="s">
        <v>53</v>
      </c>
      <c r="B84" s="11"/>
      <c r="C84" s="11"/>
      <c r="D84" s="39" t="e">
        <f>D72+D76+D79+D82</f>
        <v>#DIV/0!</v>
      </c>
      <c r="E84" s="13" t="s">
        <v>42</v>
      </c>
      <c r="F84" s="12"/>
      <c r="G84" s="36"/>
    </row>
    <row r="85" spans="1:7">
      <c r="A85" s="25" t="s">
        <v>54</v>
      </c>
      <c r="B85" s="43" t="e">
        <f>D84/E85</f>
        <v>#DIV/0!</v>
      </c>
      <c r="C85" s="11" t="s">
        <v>40</v>
      </c>
      <c r="D85" s="11" t="s">
        <v>47</v>
      </c>
      <c r="E85" s="11" t="e">
        <f>E73</f>
        <v>#DIV/0!</v>
      </c>
      <c r="F85" s="12" t="s">
        <v>40</v>
      </c>
      <c r="G85" s="36"/>
    </row>
    <row r="86" spans="1:7">
      <c r="A86" s="25" t="s">
        <v>55</v>
      </c>
      <c r="B86" s="11">
        <v>7.5</v>
      </c>
      <c r="C86" s="11" t="s">
        <v>40</v>
      </c>
      <c r="D86" s="11"/>
      <c r="E86" s="12"/>
      <c r="F86" s="12"/>
      <c r="G86" s="36"/>
    </row>
    <row r="87" spans="1:7">
      <c r="A87" s="28" t="s">
        <v>56</v>
      </c>
      <c r="B87" s="29"/>
      <c r="C87" s="29"/>
      <c r="D87" s="44" t="e">
        <f>D84/A62</f>
        <v>#DIV/0!</v>
      </c>
      <c r="E87" s="45" t="s">
        <v>42</v>
      </c>
      <c r="F87" s="45"/>
      <c r="G87" s="38"/>
    </row>
    <row r="88" spans="1:7">
      <c r="D88" s="6"/>
    </row>
    <row r="89" spans="1:7">
      <c r="A89" s="32" t="s">
        <v>57</v>
      </c>
      <c r="B89" s="33"/>
      <c r="C89" s="33"/>
      <c r="D89" s="46">
        <v>2.5</v>
      </c>
      <c r="E89" s="23" t="s">
        <v>58</v>
      </c>
      <c r="F89" s="35"/>
    </row>
    <row r="90" spans="1:7">
      <c r="A90" s="25" t="s">
        <v>59</v>
      </c>
      <c r="B90" s="11"/>
      <c r="C90" s="11"/>
      <c r="D90" s="11">
        <v>1</v>
      </c>
      <c r="E90" s="12" t="s">
        <v>58</v>
      </c>
      <c r="F90" s="36"/>
    </row>
    <row r="91" spans="1:7">
      <c r="A91" s="25" t="s">
        <v>60</v>
      </c>
      <c r="B91" s="11"/>
      <c r="C91" s="11"/>
      <c r="D91" s="47" t="e">
        <f>MAX(D5:D16)*1000/(A53*21)</f>
        <v>#DIV/0!</v>
      </c>
      <c r="E91" s="12" t="s">
        <v>61</v>
      </c>
      <c r="F91" s="36"/>
    </row>
    <row r="92" spans="1:7">
      <c r="A92" s="28"/>
      <c r="B92" s="29"/>
      <c r="C92" s="29"/>
      <c r="D92" s="48" t="e">
        <f>D91*(D89+D90)</f>
        <v>#DIV/0!</v>
      </c>
      <c r="E92" s="45" t="s">
        <v>62</v>
      </c>
      <c r="F92" s="38"/>
    </row>
    <row r="93" spans="1:7">
      <c r="D93" s="7"/>
    </row>
    <row r="94" spans="1:7">
      <c r="A94" s="32" t="s">
        <v>63</v>
      </c>
      <c r="B94" s="33"/>
      <c r="C94" s="33"/>
      <c r="D94" s="33"/>
      <c r="E94" s="23"/>
      <c r="F94" s="23"/>
      <c r="G94" s="35"/>
    </row>
    <row r="95" spans="1:7">
      <c r="A95" s="25" t="s">
        <v>64</v>
      </c>
      <c r="B95" s="11"/>
      <c r="C95" s="11"/>
      <c r="D95" s="11"/>
      <c r="E95" s="41">
        <v>25</v>
      </c>
      <c r="F95" s="12" t="s">
        <v>65</v>
      </c>
      <c r="G95" s="36"/>
    </row>
    <row r="96" spans="1:7">
      <c r="A96" s="25" t="s">
        <v>66</v>
      </c>
      <c r="B96" s="11"/>
      <c r="C96" s="11"/>
      <c r="D96" s="12"/>
      <c r="E96" s="43" t="e">
        <f>E85/4+B85/2</f>
        <v>#DIV/0!</v>
      </c>
      <c r="F96" s="12" t="s">
        <v>40</v>
      </c>
      <c r="G96" s="36"/>
    </row>
    <row r="97" spans="1:7">
      <c r="A97" s="25" t="s">
        <v>67</v>
      </c>
      <c r="B97" s="11"/>
      <c r="C97" s="11"/>
      <c r="D97" s="12"/>
      <c r="E97" s="11">
        <f>0.74</f>
        <v>0.74</v>
      </c>
      <c r="F97" s="12" t="s">
        <v>68</v>
      </c>
      <c r="G97" s="36"/>
    </row>
    <row r="98" spans="1:7">
      <c r="A98" s="25"/>
      <c r="B98" s="11"/>
      <c r="C98" s="11"/>
      <c r="D98" s="12" t="s">
        <v>69</v>
      </c>
      <c r="E98" s="41" t="e">
        <f>E96*E97</f>
        <v>#DIV/0!</v>
      </c>
      <c r="F98" s="12" t="s">
        <v>65</v>
      </c>
      <c r="G98" s="36"/>
    </row>
    <row r="99" spans="1:7">
      <c r="A99" s="25" t="s">
        <v>70</v>
      </c>
      <c r="B99" s="11"/>
      <c r="C99" s="11"/>
      <c r="D99" s="11"/>
      <c r="E99" s="41">
        <v>125</v>
      </c>
      <c r="F99" s="12" t="s">
        <v>65</v>
      </c>
      <c r="G99" s="36"/>
    </row>
    <row r="100" spans="1:7">
      <c r="A100" s="25" t="s">
        <v>71</v>
      </c>
      <c r="B100" s="12"/>
      <c r="C100" s="12"/>
      <c r="D100" s="12"/>
      <c r="E100" s="43" t="e">
        <f>E96</f>
        <v>#DIV/0!</v>
      </c>
      <c r="F100" s="12"/>
      <c r="G100" s="36"/>
    </row>
    <row r="101" spans="1:7">
      <c r="A101" s="25" t="s">
        <v>72</v>
      </c>
      <c r="B101" s="12"/>
      <c r="C101" s="12"/>
      <c r="D101" s="12"/>
      <c r="E101" s="11">
        <v>0.68</v>
      </c>
      <c r="F101" s="12" t="s">
        <v>68</v>
      </c>
      <c r="G101" s="36"/>
    </row>
    <row r="102" spans="1:7">
      <c r="A102" s="25"/>
      <c r="B102" s="12"/>
      <c r="C102" s="12"/>
      <c r="D102" s="12" t="s">
        <v>69</v>
      </c>
      <c r="E102" s="41" t="e">
        <f>E100*E101</f>
        <v>#DIV/0!</v>
      </c>
      <c r="F102" s="12"/>
      <c r="G102" s="36"/>
    </row>
    <row r="103" spans="1:7">
      <c r="A103" s="25"/>
      <c r="B103" s="11"/>
      <c r="C103" s="11"/>
      <c r="D103" s="11" t="s">
        <v>73</v>
      </c>
      <c r="E103" s="41" t="e">
        <f>E95+E98+E99+E102</f>
        <v>#DIV/0!</v>
      </c>
      <c r="F103" s="12" t="s">
        <v>74</v>
      </c>
      <c r="G103" s="36"/>
    </row>
    <row r="104" spans="1:7">
      <c r="A104" s="28"/>
      <c r="B104" s="29"/>
      <c r="C104" s="29"/>
      <c r="D104" s="29"/>
      <c r="E104" s="48" t="e">
        <f>E103*$D$91</f>
        <v>#DIV/0!</v>
      </c>
      <c r="F104" s="45" t="s">
        <v>65</v>
      </c>
      <c r="G104" s="38"/>
    </row>
    <row r="105" spans="1:7">
      <c r="E105" s="7"/>
    </row>
    <row r="106" spans="1:7">
      <c r="A106" s="32" t="s">
        <v>75</v>
      </c>
      <c r="B106" s="33"/>
      <c r="C106" s="33"/>
      <c r="D106" s="33"/>
      <c r="E106" s="62"/>
      <c r="F106" s="23"/>
      <c r="G106" s="35"/>
    </row>
    <row r="107" spans="1:7">
      <c r="A107" s="25" t="s">
        <v>76</v>
      </c>
      <c r="B107" s="11"/>
      <c r="C107" s="11"/>
      <c r="D107" s="11"/>
      <c r="E107" s="11"/>
      <c r="F107" s="12"/>
      <c r="G107" s="36"/>
    </row>
    <row r="108" spans="1:7">
      <c r="A108" s="25" t="s">
        <v>77</v>
      </c>
      <c r="B108" s="11"/>
      <c r="C108" s="11"/>
      <c r="D108" s="11"/>
      <c r="E108" s="43" t="e">
        <f>E96/2</f>
        <v>#DIV/0!</v>
      </c>
      <c r="F108" s="12" t="s">
        <v>40</v>
      </c>
      <c r="G108" s="36"/>
    </row>
    <row r="109" spans="1:7">
      <c r="A109" s="25" t="s">
        <v>72</v>
      </c>
      <c r="B109" s="11"/>
      <c r="C109" s="11"/>
      <c r="D109" s="11"/>
      <c r="E109" s="11">
        <v>0.68</v>
      </c>
      <c r="F109" s="12" t="s">
        <v>68</v>
      </c>
      <c r="G109" s="36"/>
    </row>
    <row r="110" spans="1:7">
      <c r="A110" s="25"/>
      <c r="B110" s="11"/>
      <c r="C110" s="11"/>
      <c r="D110" s="11" t="s">
        <v>69</v>
      </c>
      <c r="E110" s="83" t="e">
        <f>E108*E109</f>
        <v>#DIV/0!</v>
      </c>
      <c r="F110" s="12" t="s">
        <v>74</v>
      </c>
      <c r="G110" s="36"/>
    </row>
    <row r="111" spans="1:7">
      <c r="A111" s="25" t="s">
        <v>78</v>
      </c>
      <c r="B111" s="11"/>
      <c r="C111" s="11"/>
      <c r="D111" s="11"/>
      <c r="E111" s="41">
        <v>125</v>
      </c>
      <c r="F111" s="12" t="s">
        <v>65</v>
      </c>
      <c r="G111" s="36"/>
    </row>
    <row r="112" spans="1:7">
      <c r="A112" s="25" t="s">
        <v>67</v>
      </c>
      <c r="B112" s="11"/>
      <c r="C112" s="11"/>
      <c r="D112" s="12"/>
      <c r="E112" s="11">
        <f>0.74</f>
        <v>0.74</v>
      </c>
      <c r="F112" s="12" t="s">
        <v>68</v>
      </c>
      <c r="G112" s="36"/>
    </row>
    <row r="113" spans="1:7">
      <c r="A113" s="25"/>
      <c r="B113" s="11"/>
      <c r="C113" s="11"/>
      <c r="D113" s="11"/>
      <c r="E113" s="43">
        <v>0</v>
      </c>
      <c r="F113" s="12" t="s">
        <v>40</v>
      </c>
      <c r="G113" s="36"/>
    </row>
    <row r="114" spans="1:7">
      <c r="A114" s="25"/>
      <c r="B114" s="11"/>
      <c r="C114" s="11"/>
      <c r="D114" s="11" t="s">
        <v>73</v>
      </c>
      <c r="E114" s="39" t="e">
        <f>E110+E111</f>
        <v>#DIV/0!</v>
      </c>
      <c r="F114" s="12" t="s">
        <v>65</v>
      </c>
      <c r="G114" s="36"/>
    </row>
    <row r="115" spans="1:7">
      <c r="A115" s="28"/>
      <c r="B115" s="29"/>
      <c r="C115" s="29"/>
      <c r="D115" s="29"/>
      <c r="E115" s="48" t="e">
        <f>E114*$D$91</f>
        <v>#DIV/0!</v>
      </c>
      <c r="F115" s="45" t="s">
        <v>65</v>
      </c>
      <c r="G115" s="38"/>
    </row>
    <row r="116" spans="1:7">
      <c r="E116" s="7"/>
    </row>
    <row r="117" spans="1:7">
      <c r="E117" s="7"/>
    </row>
    <row r="118" spans="1:7">
      <c r="A118" s="32" t="s">
        <v>79</v>
      </c>
      <c r="B118" s="33"/>
      <c r="C118" s="33"/>
      <c r="D118" s="33"/>
      <c r="E118" s="49"/>
      <c r="F118" s="23"/>
      <c r="G118" s="35"/>
    </row>
    <row r="119" spans="1:7">
      <c r="A119" s="25" t="s">
        <v>76</v>
      </c>
      <c r="B119" s="11"/>
      <c r="C119" s="11"/>
      <c r="D119" s="11"/>
      <c r="E119" s="50"/>
      <c r="F119" s="12"/>
      <c r="G119" s="36"/>
    </row>
    <row r="120" spans="1:7">
      <c r="A120" s="25" t="s">
        <v>77</v>
      </c>
      <c r="B120" s="11"/>
      <c r="C120" s="11"/>
      <c r="D120" s="11"/>
      <c r="E120" s="50" t="e">
        <f>E108</f>
        <v>#DIV/0!</v>
      </c>
      <c r="F120" s="12"/>
      <c r="G120" s="36"/>
    </row>
    <row r="121" spans="1:7">
      <c r="A121" s="25" t="s">
        <v>72</v>
      </c>
      <c r="B121" s="11"/>
      <c r="C121" s="11"/>
      <c r="D121" s="11"/>
      <c r="E121" s="11">
        <v>0.68</v>
      </c>
      <c r="F121" s="12" t="s">
        <v>68</v>
      </c>
      <c r="G121" s="36"/>
    </row>
    <row r="122" spans="1:7">
      <c r="A122" s="25"/>
      <c r="B122" s="11"/>
      <c r="C122" s="11"/>
      <c r="D122" s="11" t="s">
        <v>69</v>
      </c>
      <c r="E122" s="50" t="e">
        <f>E120*E121</f>
        <v>#DIV/0!</v>
      </c>
      <c r="F122" s="12" t="s">
        <v>74</v>
      </c>
      <c r="G122" s="36"/>
    </row>
    <row r="123" spans="1:7">
      <c r="A123" s="25" t="s">
        <v>80</v>
      </c>
      <c r="B123" s="11"/>
      <c r="C123" s="11"/>
      <c r="D123" s="11"/>
      <c r="E123" s="41">
        <v>65</v>
      </c>
      <c r="F123" s="12" t="s">
        <v>65</v>
      </c>
      <c r="G123" s="36"/>
    </row>
    <row r="124" spans="1:7">
      <c r="A124" s="25" t="s">
        <v>67</v>
      </c>
      <c r="B124" s="11"/>
      <c r="C124" s="11"/>
      <c r="D124" s="12"/>
      <c r="E124" s="11">
        <f>0.74</f>
        <v>0.74</v>
      </c>
      <c r="F124" s="12" t="s">
        <v>68</v>
      </c>
      <c r="G124" s="36"/>
    </row>
    <row r="125" spans="1:7">
      <c r="A125" s="25" t="s">
        <v>77</v>
      </c>
      <c r="B125" s="11"/>
      <c r="C125" s="11"/>
      <c r="D125" s="11"/>
      <c r="E125" s="43" t="e">
        <f>E96</f>
        <v>#DIV/0!</v>
      </c>
      <c r="F125" s="12" t="s">
        <v>40</v>
      </c>
      <c r="G125" s="36"/>
    </row>
    <row r="126" spans="1:7">
      <c r="A126" s="25"/>
      <c r="B126" s="11"/>
      <c r="C126" s="11"/>
      <c r="D126" s="11" t="s">
        <v>69</v>
      </c>
      <c r="E126" s="50" t="e">
        <f>E124*E125</f>
        <v>#DIV/0!</v>
      </c>
      <c r="F126" s="12" t="s">
        <v>65</v>
      </c>
      <c r="G126" s="36"/>
    </row>
    <row r="127" spans="1:7">
      <c r="A127" s="25" t="s">
        <v>81</v>
      </c>
      <c r="B127" s="11"/>
      <c r="C127" s="11"/>
      <c r="D127" s="11"/>
      <c r="E127" s="50">
        <v>25</v>
      </c>
      <c r="F127" s="12"/>
      <c r="G127" s="36"/>
    </row>
    <row r="128" spans="1:7">
      <c r="A128" s="25"/>
      <c r="B128" s="12"/>
      <c r="C128" s="12"/>
      <c r="D128" s="12" t="s">
        <v>73</v>
      </c>
      <c r="E128" s="50" t="e">
        <f>E122+E123+E126+E127</f>
        <v>#DIV/0!</v>
      </c>
      <c r="F128" s="12" t="s">
        <v>74</v>
      </c>
      <c r="G128" s="36"/>
    </row>
    <row r="129" spans="1:7">
      <c r="A129" s="25" t="s">
        <v>82</v>
      </c>
      <c r="B129" s="12"/>
      <c r="C129" s="12"/>
      <c r="D129" s="12"/>
      <c r="E129" s="47">
        <f>F57*F58*E56</f>
        <v>16</v>
      </c>
      <c r="F129" s="12" t="s">
        <v>61</v>
      </c>
      <c r="G129" s="36"/>
    </row>
    <row r="130" spans="1:7">
      <c r="A130" s="28"/>
      <c r="B130" s="45"/>
      <c r="C130" s="45"/>
      <c r="D130" s="45"/>
      <c r="E130" s="48" t="e">
        <f>E128*E129</f>
        <v>#DIV/0!</v>
      </c>
      <c r="F130" s="45" t="s">
        <v>65</v>
      </c>
      <c r="G130" s="38"/>
    </row>
    <row r="131" spans="1:7">
      <c r="B131"/>
      <c r="C131"/>
      <c r="D131"/>
      <c r="E131" s="7"/>
    </row>
    <row r="132" spans="1:7">
      <c r="A132" s="32" t="s">
        <v>83</v>
      </c>
      <c r="B132" s="23"/>
      <c r="C132" s="23"/>
      <c r="D132" s="23"/>
      <c r="E132" s="49"/>
      <c r="F132" s="23"/>
      <c r="G132" s="35"/>
    </row>
    <row r="133" spans="1:7">
      <c r="A133" s="25" t="s">
        <v>82</v>
      </c>
      <c r="B133" s="12"/>
      <c r="C133" s="12"/>
      <c r="D133" s="12"/>
      <c r="E133" s="47">
        <f>F55*F54*E53</f>
        <v>14700</v>
      </c>
      <c r="F133" s="12" t="s">
        <v>84</v>
      </c>
      <c r="G133" s="36"/>
    </row>
    <row r="134" spans="1:7">
      <c r="A134" s="28"/>
      <c r="B134" s="45"/>
      <c r="C134" s="45"/>
      <c r="D134" s="45"/>
      <c r="E134" s="48"/>
      <c r="F134" s="45"/>
      <c r="G134" s="38"/>
    </row>
    <row r="135" spans="1:7">
      <c r="A135" s="12"/>
      <c r="B135" s="12"/>
      <c r="C135" s="12"/>
      <c r="D135" s="12"/>
      <c r="E135" s="39"/>
      <c r="F135" s="12"/>
      <c r="G135" s="12"/>
    </row>
    <row r="136" spans="1:7">
      <c r="A136" s="32" t="s">
        <v>85</v>
      </c>
      <c r="B136" s="33"/>
      <c r="C136" s="33"/>
      <c r="D136" s="46"/>
      <c r="E136" s="23"/>
      <c r="F136" s="23"/>
      <c r="G136" s="35"/>
    </row>
    <row r="137" spans="1:7">
      <c r="A137" s="25" t="s">
        <v>86</v>
      </c>
      <c r="B137" s="11"/>
      <c r="C137" s="11"/>
      <c r="D137" s="12"/>
      <c r="E137" s="11">
        <v>1</v>
      </c>
      <c r="F137" s="12" t="s">
        <v>58</v>
      </c>
      <c r="G137" s="36"/>
    </row>
    <row r="138" spans="1:7">
      <c r="A138" s="25" t="s">
        <v>87</v>
      </c>
      <c r="B138" s="11"/>
      <c r="C138" s="11"/>
      <c r="D138" s="12"/>
      <c r="E138" s="43">
        <v>2.5</v>
      </c>
      <c r="F138" s="12" t="s">
        <v>58</v>
      </c>
      <c r="G138" s="36"/>
    </row>
    <row r="139" spans="1:7">
      <c r="A139" s="25" t="s">
        <v>82</v>
      </c>
      <c r="B139" s="11"/>
      <c r="C139" s="11"/>
      <c r="D139" s="12"/>
      <c r="E139" s="47" t="e">
        <f>MAX(C5:C16)*1000/(21*A53)</f>
        <v>#DIV/0!</v>
      </c>
      <c r="F139" s="12" t="s">
        <v>61</v>
      </c>
      <c r="G139" s="36"/>
    </row>
    <row r="140" spans="1:7">
      <c r="A140" s="28"/>
      <c r="B140" s="29"/>
      <c r="C140" s="29"/>
      <c r="D140" s="45"/>
      <c r="E140" s="48" t="e">
        <f>E139*(E137+E138)</f>
        <v>#DIV/0!</v>
      </c>
      <c r="F140" s="45" t="s">
        <v>62</v>
      </c>
      <c r="G140" s="38"/>
    </row>
    <row r="141" spans="1:7">
      <c r="C141" s="5"/>
      <c r="E141" s="1"/>
      <c r="G141" s="8"/>
    </row>
    <row r="142" spans="1:7">
      <c r="A142" s="32" t="s">
        <v>88</v>
      </c>
      <c r="B142" s="33"/>
      <c r="C142" s="51"/>
      <c r="D142" s="33"/>
      <c r="E142" s="33"/>
      <c r="F142" s="23"/>
      <c r="G142" s="52"/>
    </row>
    <row r="143" spans="1:7">
      <c r="A143" s="53" t="s">
        <v>89</v>
      </c>
      <c r="B143" s="11"/>
      <c r="C143" s="13"/>
      <c r="D143" s="11"/>
      <c r="E143" s="11"/>
      <c r="F143" s="12"/>
      <c r="G143" s="54"/>
    </row>
    <row r="144" spans="1:7">
      <c r="A144" s="25"/>
      <c r="B144" s="40" t="s">
        <v>90</v>
      </c>
      <c r="C144" s="11"/>
      <c r="D144" s="12"/>
      <c r="E144" s="41" t="e">
        <f>D92+E140</f>
        <v>#DIV/0!</v>
      </c>
      <c r="F144" s="11" t="s">
        <v>62</v>
      </c>
      <c r="G144" s="36"/>
    </row>
    <row r="145" spans="1:8">
      <c r="A145" s="25"/>
      <c r="B145" s="11" t="s">
        <v>91</v>
      </c>
      <c r="C145" s="13"/>
      <c r="D145" s="12"/>
      <c r="E145" s="11" t="e">
        <f>INT(E144/(60*7.5*0.9))+1</f>
        <v>#DIV/0!</v>
      </c>
      <c r="F145" s="11"/>
      <c r="G145" s="36"/>
    </row>
    <row r="146" spans="1:8">
      <c r="A146" s="25" t="s">
        <v>92</v>
      </c>
      <c r="B146" s="11"/>
      <c r="C146" s="11"/>
      <c r="D146" s="12"/>
      <c r="E146" s="11"/>
      <c r="F146" s="11"/>
      <c r="G146" s="36"/>
    </row>
    <row r="147" spans="1:8">
      <c r="A147" s="25"/>
      <c r="B147" s="40" t="s">
        <v>90</v>
      </c>
      <c r="C147" s="11"/>
      <c r="D147" s="12"/>
      <c r="E147" s="41" t="e">
        <f>E104+E115+E130</f>
        <v>#DIV/0!</v>
      </c>
      <c r="F147" s="11" t="s">
        <v>65</v>
      </c>
      <c r="G147" s="36"/>
    </row>
    <row r="148" spans="1:8">
      <c r="A148" s="25"/>
      <c r="B148" s="11" t="s">
        <v>91</v>
      </c>
      <c r="C148" s="13"/>
      <c r="D148" s="12"/>
      <c r="E148" s="41" t="e">
        <f>INT(E147/(100*60*7.5*0.9))+1</f>
        <v>#DIV/0!</v>
      </c>
      <c r="F148" s="12"/>
      <c r="G148" s="36"/>
    </row>
    <row r="149" spans="1:8">
      <c r="A149" s="25" t="s">
        <v>93</v>
      </c>
      <c r="B149" s="11"/>
      <c r="C149" s="13"/>
      <c r="D149" s="11"/>
      <c r="E149" s="12"/>
      <c r="F149" s="12"/>
      <c r="G149" s="36"/>
    </row>
    <row r="150" spans="1:8">
      <c r="A150" s="25"/>
      <c r="B150" s="40" t="s">
        <v>94</v>
      </c>
      <c r="C150" s="11"/>
      <c r="D150" s="11"/>
      <c r="E150" s="79"/>
      <c r="F150" s="12" t="s">
        <v>95</v>
      </c>
      <c r="G150" s="36"/>
    </row>
    <row r="151" spans="1:8">
      <c r="A151" s="28"/>
      <c r="B151" s="29" t="s">
        <v>91</v>
      </c>
      <c r="C151" s="34"/>
      <c r="D151" s="29"/>
      <c r="E151" s="29" t="e">
        <f>INT(E133/(E150*7.5*0.9))</f>
        <v>#DIV/0!</v>
      </c>
      <c r="F151" s="45"/>
      <c r="G151" s="38"/>
    </row>
    <row r="152" spans="1:8">
      <c r="B152" s="11"/>
      <c r="C152" s="5"/>
      <c r="E152" s="1"/>
    </row>
    <row r="153" spans="1:8">
      <c r="A153" s="9"/>
    </row>
    <row r="154" spans="1:8">
      <c r="A154" s="3" t="s">
        <v>96</v>
      </c>
    </row>
    <row r="155" spans="1:8">
      <c r="A155" s="3"/>
    </row>
    <row r="156" spans="1:8">
      <c r="A156" s="32" t="s">
        <v>97</v>
      </c>
      <c r="B156" s="33"/>
      <c r="C156" s="56" t="s">
        <v>98</v>
      </c>
      <c r="D156" s="57" t="s">
        <v>99</v>
      </c>
      <c r="E156" s="56" t="s">
        <v>100</v>
      </c>
      <c r="F156" s="56" t="s">
        <v>119</v>
      </c>
      <c r="G156" s="56" t="s">
        <v>120</v>
      </c>
      <c r="H156" s="24"/>
    </row>
    <row r="157" spans="1:8">
      <c r="A157" s="58" t="s">
        <v>101</v>
      </c>
      <c r="B157" s="12"/>
      <c r="C157" s="11">
        <v>15</v>
      </c>
      <c r="D157" s="79"/>
      <c r="E157" s="41" t="e">
        <f>D84</f>
        <v>#DIV/0!</v>
      </c>
      <c r="F157" s="41" t="e">
        <f t="shared" ref="F157:F162" si="2">D157*E157/1000</f>
        <v>#DIV/0!</v>
      </c>
      <c r="G157" s="41" t="e">
        <f>F157/C157</f>
        <v>#DIV/0!</v>
      </c>
      <c r="H157" s="26"/>
    </row>
    <row r="158" spans="1:8">
      <c r="A158" s="58" t="s">
        <v>102</v>
      </c>
      <c r="B158" s="12"/>
      <c r="C158" s="11">
        <v>10</v>
      </c>
      <c r="D158" s="79"/>
      <c r="E158" s="11" t="e">
        <f>A57</f>
        <v>#DIV/0!</v>
      </c>
      <c r="F158" s="41" t="e">
        <f t="shared" si="2"/>
        <v>#DIV/0!</v>
      </c>
      <c r="G158" s="41" t="e">
        <f>F158/C158</f>
        <v>#DIV/0!</v>
      </c>
      <c r="H158" s="26"/>
    </row>
    <row r="159" spans="1:8">
      <c r="A159" s="58" t="s">
        <v>103</v>
      </c>
      <c r="B159" s="12"/>
      <c r="C159" s="11">
        <v>5</v>
      </c>
      <c r="D159" s="79"/>
      <c r="E159" s="41" t="e">
        <f>E148</f>
        <v>#DIV/0!</v>
      </c>
      <c r="F159" s="41" t="e">
        <f t="shared" si="2"/>
        <v>#DIV/0!</v>
      </c>
      <c r="G159" s="41" t="e">
        <f>F159/C159</f>
        <v>#DIV/0!</v>
      </c>
      <c r="H159" s="26"/>
    </row>
    <row r="160" spans="1:8">
      <c r="A160" s="58" t="s">
        <v>104</v>
      </c>
      <c r="B160" s="12"/>
      <c r="C160" s="11">
        <v>5</v>
      </c>
      <c r="D160" s="79"/>
      <c r="E160" s="11" t="e">
        <f>(E145+E151)</f>
        <v>#DIV/0!</v>
      </c>
      <c r="F160" s="41" t="e">
        <f t="shared" si="2"/>
        <v>#DIV/0!</v>
      </c>
      <c r="G160" s="41" t="e">
        <f>F160/C160</f>
        <v>#DIV/0!</v>
      </c>
      <c r="H160" s="26"/>
    </row>
    <row r="161" spans="1:9">
      <c r="A161" s="25" t="s">
        <v>105</v>
      </c>
      <c r="B161" s="11"/>
      <c r="C161" s="11">
        <v>5</v>
      </c>
      <c r="D161" s="79"/>
      <c r="E161" s="11">
        <v>6000</v>
      </c>
      <c r="F161" s="11">
        <f t="shared" si="2"/>
        <v>0</v>
      </c>
      <c r="G161" s="11"/>
      <c r="H161" s="59"/>
    </row>
    <row r="162" spans="1:9">
      <c r="A162" s="25" t="s">
        <v>128</v>
      </c>
      <c r="B162" s="11"/>
      <c r="C162" s="11">
        <v>3</v>
      </c>
      <c r="D162" s="79"/>
      <c r="E162" s="11">
        <v>1</v>
      </c>
      <c r="F162" s="11">
        <f t="shared" si="2"/>
        <v>0</v>
      </c>
      <c r="G162" s="41">
        <f>F162/C162</f>
        <v>0</v>
      </c>
      <c r="H162" s="59"/>
    </row>
    <row r="163" spans="1:9">
      <c r="A163" s="25"/>
      <c r="B163" s="11"/>
      <c r="C163" s="11"/>
      <c r="D163" s="11"/>
      <c r="E163" s="11"/>
      <c r="F163" s="11"/>
      <c r="G163" s="39" t="e">
        <f>SUM(G157:G162)</f>
        <v>#DIV/0!</v>
      </c>
      <c r="H163" s="60" t="e">
        <f>G163/$G$181</f>
        <v>#DIV/0!</v>
      </c>
    </row>
    <row r="164" spans="1:9">
      <c r="A164" s="28"/>
      <c r="B164" s="29"/>
      <c r="C164" s="29"/>
      <c r="D164" s="29"/>
      <c r="E164" s="29"/>
      <c r="F164" s="44" t="e">
        <f>SUM(F157:F161)</f>
        <v>#DIV/0!</v>
      </c>
      <c r="G164" s="29"/>
      <c r="H164" s="30"/>
    </row>
    <row r="165" spans="1:9">
      <c r="A165" s="82" t="s">
        <v>127</v>
      </c>
      <c r="E165" s="1"/>
      <c r="F165" s="1"/>
      <c r="G165" s="1">
        <f>F161/C161</f>
        <v>0</v>
      </c>
      <c r="H165" s="1"/>
    </row>
    <row r="166" spans="1:9">
      <c r="A166" s="55" t="s">
        <v>106</v>
      </c>
      <c r="B166" s="33"/>
      <c r="C166" s="61">
        <v>0.01</v>
      </c>
      <c r="D166" s="33" t="s">
        <v>107</v>
      </c>
      <c r="E166" s="23"/>
      <c r="F166" s="23"/>
      <c r="G166" s="62" t="e">
        <f>C166*F157</f>
        <v>#DIV/0!</v>
      </c>
      <c r="H166" s="24"/>
    </row>
    <row r="167" spans="1:9">
      <c r="A167" s="25" t="s">
        <v>108</v>
      </c>
      <c r="B167" s="11"/>
      <c r="C167" s="63">
        <v>1E-3</v>
      </c>
      <c r="D167" s="11" t="s">
        <v>107</v>
      </c>
      <c r="E167" s="12"/>
      <c r="F167" s="12"/>
      <c r="G167" s="41" t="e">
        <f>C167*F157</f>
        <v>#DIV/0!</v>
      </c>
      <c r="H167" s="26"/>
    </row>
    <row r="168" spans="1:9">
      <c r="A168" s="25" t="s">
        <v>109</v>
      </c>
      <c r="B168" s="11"/>
      <c r="C168" s="64">
        <v>0.01</v>
      </c>
      <c r="D168" s="11"/>
      <c r="E168" s="12"/>
      <c r="F168" s="12"/>
      <c r="G168" s="41" t="e">
        <f>C168*(F159+F160)</f>
        <v>#DIV/0!</v>
      </c>
      <c r="H168" s="26"/>
    </row>
    <row r="169" spans="1:9">
      <c r="A169" s="25" t="s">
        <v>110</v>
      </c>
      <c r="B169" s="11"/>
      <c r="C169" s="41">
        <v>4</v>
      </c>
      <c r="D169" s="11" t="s">
        <v>118</v>
      </c>
      <c r="E169" s="12"/>
      <c r="F169" s="12"/>
      <c r="G169" s="41" t="e">
        <f>C169*D84/1000</f>
        <v>#DIV/0!</v>
      </c>
      <c r="H169" s="26"/>
    </row>
    <row r="170" spans="1:9">
      <c r="A170" s="28"/>
      <c r="B170" s="29"/>
      <c r="C170" s="65"/>
      <c r="D170" s="29"/>
      <c r="E170" s="45"/>
      <c r="F170" s="45"/>
      <c r="G170" s="48" t="e">
        <f>SUM(G166:G169)</f>
        <v>#DIV/0!</v>
      </c>
      <c r="H170" s="66" t="e">
        <f>G170/$G$181</f>
        <v>#DIV/0!</v>
      </c>
      <c r="I170" s="81"/>
    </row>
    <row r="171" spans="1:9">
      <c r="A171" s="12"/>
      <c r="B171" s="11"/>
      <c r="C171" s="64"/>
      <c r="D171" s="11"/>
      <c r="E171" s="12"/>
      <c r="F171" s="12"/>
      <c r="G171" s="41"/>
      <c r="H171" s="39"/>
    </row>
    <row r="172" spans="1:9">
      <c r="A172" s="32" t="s">
        <v>111</v>
      </c>
      <c r="B172" s="33"/>
      <c r="C172" s="33"/>
      <c r="D172" s="33"/>
      <c r="E172" s="33" t="s">
        <v>126</v>
      </c>
      <c r="F172" s="62"/>
      <c r="G172" s="33" t="s">
        <v>126</v>
      </c>
      <c r="H172" s="24"/>
    </row>
    <row r="173" spans="1:9">
      <c r="A173" s="25"/>
      <c r="B173" s="11"/>
      <c r="C173" s="11"/>
      <c r="D173" s="11"/>
      <c r="E173" s="11"/>
      <c r="F173" s="11"/>
      <c r="G173" s="41"/>
      <c r="H173" s="26"/>
    </row>
    <row r="174" spans="1:9">
      <c r="A174" s="25"/>
      <c r="B174" s="13" t="s">
        <v>112</v>
      </c>
      <c r="C174" s="11"/>
      <c r="D174" s="11"/>
      <c r="E174" s="79"/>
      <c r="F174" s="11">
        <v>1</v>
      </c>
      <c r="G174" s="41">
        <f>E174*F174</f>
        <v>0</v>
      </c>
      <c r="H174" s="26"/>
    </row>
    <row r="175" spans="1:9">
      <c r="A175" s="25"/>
      <c r="B175" s="13" t="s">
        <v>113</v>
      </c>
      <c r="C175" s="11"/>
      <c r="D175" s="11"/>
      <c r="E175" s="79"/>
      <c r="F175" s="11">
        <v>1</v>
      </c>
      <c r="G175" s="41">
        <f>E175*F175</f>
        <v>0</v>
      </c>
      <c r="H175" s="26"/>
    </row>
    <row r="176" spans="1:9">
      <c r="A176" s="25"/>
      <c r="B176" s="13" t="s">
        <v>93</v>
      </c>
      <c r="C176" s="11"/>
      <c r="D176" s="11"/>
      <c r="E176" s="79"/>
      <c r="F176" s="11" t="e">
        <f>E151</f>
        <v>#DIV/0!</v>
      </c>
      <c r="G176" s="41" t="e">
        <f>E176*F176</f>
        <v>#DIV/0!</v>
      </c>
      <c r="H176" s="26"/>
    </row>
    <row r="177" spans="1:8">
      <c r="A177" s="25"/>
      <c r="B177" s="13" t="s">
        <v>92</v>
      </c>
      <c r="C177" s="11"/>
      <c r="D177" s="11"/>
      <c r="E177" s="79"/>
      <c r="F177" s="41" t="e">
        <f>E148</f>
        <v>#DIV/0!</v>
      </c>
      <c r="G177" s="41" t="e">
        <f>E177*F177</f>
        <v>#DIV/0!</v>
      </c>
      <c r="H177" s="26"/>
    </row>
    <row r="178" spans="1:8">
      <c r="A178" s="25"/>
      <c r="B178" s="13" t="s">
        <v>89</v>
      </c>
      <c r="C178" s="11"/>
      <c r="D178" s="11"/>
      <c r="E178" s="79"/>
      <c r="F178" s="11" t="e">
        <f>E145</f>
        <v>#DIV/0!</v>
      </c>
      <c r="G178" s="41" t="e">
        <f>E178*F178</f>
        <v>#DIV/0!</v>
      </c>
      <c r="H178" s="26"/>
    </row>
    <row r="179" spans="1:8">
      <c r="A179" s="28"/>
      <c r="B179" s="34"/>
      <c r="C179" s="29"/>
      <c r="D179" s="29"/>
      <c r="E179" s="45"/>
      <c r="F179" s="29"/>
      <c r="G179" s="48" t="e">
        <f>SUM(G174:G178)</f>
        <v>#DIV/0!</v>
      </c>
      <c r="H179" s="66" t="e">
        <f>G179/$G$181</f>
        <v>#DIV/0!</v>
      </c>
    </row>
    <row r="180" spans="1:8">
      <c r="B180" s="5"/>
      <c r="H180" s="6"/>
    </row>
    <row r="181" spans="1:8">
      <c r="B181" s="5"/>
      <c r="E181" s="2" t="s">
        <v>114</v>
      </c>
      <c r="F181" t="s">
        <v>121</v>
      </c>
      <c r="G181" s="7" t="e">
        <f>G163+G170+G179</f>
        <v>#DIV/0!</v>
      </c>
      <c r="H181" s="4" t="e">
        <f>G181/$G$181</f>
        <v>#DIV/0!</v>
      </c>
    </row>
    <row r="182" spans="1:8">
      <c r="F182" t="s">
        <v>115</v>
      </c>
      <c r="G182" s="1"/>
      <c r="H182" s="6"/>
    </row>
    <row r="183" spans="1:8">
      <c r="F183" t="s">
        <v>116</v>
      </c>
      <c r="H183" s="1"/>
    </row>
    <row r="184" spans="1:8">
      <c r="H184" s="1"/>
    </row>
    <row r="185" spans="1:8">
      <c r="A185" s="67" t="s">
        <v>117</v>
      </c>
      <c r="B185" s="68">
        <v>40</v>
      </c>
      <c r="C185" s="68" t="s">
        <v>122</v>
      </c>
      <c r="D185" s="68"/>
      <c r="E185" s="16"/>
      <c r="F185" s="16"/>
      <c r="G185" s="69" t="e">
        <f>G181/(1000*B185)</f>
        <v>#DIV/0!</v>
      </c>
      <c r="H185" s="70" t="s">
        <v>117</v>
      </c>
    </row>
    <row r="186" spans="1:8">
      <c r="A186" s="3"/>
      <c r="F186" s="8"/>
      <c r="G186" s="72"/>
      <c r="H186" s="6"/>
    </row>
    <row r="187" spans="1:8">
      <c r="H187" s="10"/>
    </row>
    <row r="189" spans="1:8">
      <c r="C189" s="5"/>
      <c r="E189" s="1"/>
      <c r="F189" s="1"/>
      <c r="G189" s="1"/>
      <c r="H189" s="1"/>
    </row>
    <row r="190" spans="1:8">
      <c r="C190" s="5"/>
      <c r="D190"/>
      <c r="E190" s="1"/>
      <c r="F190" s="6"/>
      <c r="G190" s="1"/>
      <c r="H190" s="6"/>
    </row>
    <row r="191" spans="1:8">
      <c r="C191" s="5"/>
      <c r="D191"/>
      <c r="E191" s="1"/>
      <c r="F191" s="6"/>
      <c r="G191" s="1"/>
      <c r="H191" s="6"/>
    </row>
    <row r="192" spans="1:8">
      <c r="C192" s="5"/>
      <c r="E192" s="1"/>
      <c r="F192" s="6"/>
      <c r="G192" s="1"/>
      <c r="H192" s="6"/>
    </row>
    <row r="193" spans="3:8">
      <c r="C193" s="5"/>
      <c r="E193" s="1"/>
      <c r="F193" s="1"/>
      <c r="G193" s="1"/>
      <c r="H193" s="6"/>
    </row>
    <row r="195" spans="3:8">
      <c r="H195" s="7"/>
    </row>
    <row r="196" spans="3:8">
      <c r="H196" s="10"/>
    </row>
  </sheetData>
  <phoneticPr fontId="2" type="noConversion"/>
  <printOptions horizontalCentered="1" gridLines="1" gridLinesSet="0"/>
  <pageMargins left="0.39370078740157483" right="0.39370078740157483" top="0.98425196850393704" bottom="0.98425196850393704" header="0.51181102362204722" footer="0.51181102362204722"/>
  <pageSetup paperSize="9" orientation="portrait" horizontalDpi="360" verticalDpi="360" r:id="rId1"/>
  <headerFooter alignWithMargins="0">
    <oddHeader>&amp;A</oddHeader>
    <oddFooter>Page &amp;P</oddFooter>
  </headerFooter>
  <rowBreaks count="2" manualBreakCount="2">
    <brk id="49" max="65535" man="1"/>
    <brk id="140" max="6553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</dc:creator>
  <cp:lastModifiedBy>GERARD</cp:lastModifiedBy>
  <cp:lastPrinted>2004-06-27T08:23:26Z</cp:lastPrinted>
  <dcterms:created xsi:type="dcterms:W3CDTF">2000-05-12T09:28:44Z</dcterms:created>
  <dcterms:modified xsi:type="dcterms:W3CDTF">2016-01-30T17:28:39Z</dcterms:modified>
</cp:coreProperties>
</file>